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 codeName="{2109D909-C6D8-E34B-4C66-09127ED2DC46}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ilson.BCBOE\AppData\Local\Microsoft\Windows\INetCache\Content.Outlook\1KMJP97K\"/>
    </mc:Choice>
  </mc:AlternateContent>
  <xr:revisionPtr revIDLastSave="0" documentId="13_ncr:1_{5A6D30BD-FA89-427E-B3A7-8666F414FDBA}" xr6:coauthVersionLast="45" xr6:coauthVersionMax="45" xr10:uidLastSave="{00000000-0000-0000-0000-000000000000}"/>
  <bookViews>
    <workbookView xWindow="-108" yWindow="-108" windowWidth="23256" windowHeight="12576" xr2:uid="{3EA2678F-EED3-4682-AFF0-B7449AB473D9}"/>
  </bookViews>
  <sheets>
    <sheet name="BCBE Financial Plan" sheetId="1" r:id="rId1"/>
  </sheets>
  <definedNames>
    <definedName name="_xlnm.Print_Area" localSheetId="0">'BCBE Financial Plan'!$A$1:$S$37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4" i="1" l="1"/>
  <c r="G65" i="1" s="1"/>
  <c r="G66" i="1" s="1"/>
  <c r="M36" i="1"/>
  <c r="I36" i="1"/>
  <c r="J36" i="1" s="1"/>
  <c r="K36" i="1" s="1"/>
  <c r="L36" i="1" s="1"/>
  <c r="H36" i="1"/>
  <c r="M35" i="1"/>
  <c r="I35" i="1"/>
  <c r="J35" i="1" s="1"/>
  <c r="K35" i="1" s="1"/>
  <c r="L35" i="1" s="1"/>
  <c r="H35" i="1"/>
  <c r="G32" i="1"/>
  <c r="F32" i="1"/>
  <c r="E32" i="1"/>
  <c r="D32" i="1"/>
  <c r="C32" i="1"/>
  <c r="H31" i="1"/>
  <c r="I31" i="1" s="1"/>
  <c r="J31" i="1" s="1"/>
  <c r="K31" i="1" s="1"/>
  <c r="L31" i="1" s="1"/>
  <c r="H29" i="1"/>
  <c r="F24" i="1"/>
  <c r="F33" i="1" s="1"/>
  <c r="E24" i="1"/>
  <c r="E33" i="1" s="1"/>
  <c r="D24" i="1"/>
  <c r="D33" i="1" s="1"/>
  <c r="M23" i="1"/>
  <c r="I23" i="1"/>
  <c r="J23" i="1" s="1"/>
  <c r="K23" i="1" s="1"/>
  <c r="L23" i="1" s="1"/>
  <c r="H23" i="1"/>
  <c r="G23" i="1"/>
  <c r="M22" i="1"/>
  <c r="H22" i="1"/>
  <c r="I22" i="1" s="1"/>
  <c r="J22" i="1" s="1"/>
  <c r="K22" i="1" s="1"/>
  <c r="L22" i="1" s="1"/>
  <c r="J21" i="1"/>
  <c r="K21" i="1" s="1"/>
  <c r="L21" i="1" s="1"/>
  <c r="C21" i="1"/>
  <c r="M21" i="1" s="1"/>
  <c r="M20" i="1"/>
  <c r="M19" i="1"/>
  <c r="I19" i="1"/>
  <c r="J19" i="1" s="1"/>
  <c r="K19" i="1" s="1"/>
  <c r="L19" i="1" s="1"/>
  <c r="H19" i="1"/>
  <c r="M18" i="1"/>
  <c r="H18" i="1"/>
  <c r="I18" i="1" s="1"/>
  <c r="J18" i="1" s="1"/>
  <c r="K18" i="1" s="1"/>
  <c r="L18" i="1" s="1"/>
  <c r="M17" i="1"/>
  <c r="I17" i="1"/>
  <c r="J17" i="1" s="1"/>
  <c r="K17" i="1" s="1"/>
  <c r="L17" i="1" s="1"/>
  <c r="H17" i="1"/>
  <c r="G17" i="1"/>
  <c r="G24" i="1" s="1"/>
  <c r="M16" i="1"/>
  <c r="H16" i="1"/>
  <c r="I16" i="1" s="1"/>
  <c r="J16" i="1" s="1"/>
  <c r="K16" i="1" s="1"/>
  <c r="L16" i="1" s="1"/>
  <c r="M15" i="1"/>
  <c r="J15" i="1"/>
  <c r="K15" i="1" s="1"/>
  <c r="I15" i="1"/>
  <c r="H15" i="1"/>
  <c r="H24" i="1" s="1"/>
  <c r="M12" i="1"/>
  <c r="G12" i="1"/>
  <c r="N12" i="1" s="1"/>
  <c r="F12" i="1"/>
  <c r="F26" i="1" s="1"/>
  <c r="E12" i="1"/>
  <c r="E26" i="1" s="1"/>
  <c r="D12" i="1"/>
  <c r="D26" i="1" s="1"/>
  <c r="C12" i="1"/>
  <c r="M11" i="1"/>
  <c r="H11" i="1"/>
  <c r="I11" i="1" s="1"/>
  <c r="J11" i="1" s="1"/>
  <c r="K11" i="1" s="1"/>
  <c r="L11" i="1" s="1"/>
  <c r="M10" i="1"/>
  <c r="J10" i="1"/>
  <c r="K10" i="1" s="1"/>
  <c r="L10" i="1" s="1"/>
  <c r="I10" i="1"/>
  <c r="H10" i="1"/>
  <c r="M9" i="1"/>
  <c r="L9" i="1"/>
  <c r="K9" i="1"/>
  <c r="J9" i="1"/>
  <c r="I9" i="1"/>
  <c r="H9" i="1"/>
  <c r="M8" i="1"/>
  <c r="I8" i="1"/>
  <c r="J8" i="1" s="1"/>
  <c r="H8" i="1"/>
  <c r="H12" i="1" s="1"/>
  <c r="O6" i="1"/>
  <c r="N6" i="1"/>
  <c r="J6" i="1"/>
  <c r="P6" i="1" s="1"/>
  <c r="I6" i="1"/>
  <c r="M5" i="1"/>
  <c r="J12" i="1" l="1"/>
  <c r="K8" i="1"/>
  <c r="I24" i="1"/>
  <c r="G71" i="1"/>
  <c r="G33" i="1"/>
  <c r="N24" i="1"/>
  <c r="L15" i="1"/>
  <c r="L24" i="1" s="1"/>
  <c r="K24" i="1"/>
  <c r="H26" i="1"/>
  <c r="H71" i="1"/>
  <c r="O24" i="1"/>
  <c r="J24" i="1"/>
  <c r="H30" i="1"/>
  <c r="I29" i="1" s="1"/>
  <c r="K6" i="1"/>
  <c r="I12" i="1"/>
  <c r="C24" i="1"/>
  <c r="C33" i="1" s="1"/>
  <c r="G26" i="1"/>
  <c r="I26" i="1" l="1"/>
  <c r="P12" i="1"/>
  <c r="C26" i="1"/>
  <c r="M24" i="1"/>
  <c r="Q6" i="1"/>
  <c r="L6" i="1"/>
  <c r="O12" i="1"/>
  <c r="I71" i="1"/>
  <c r="P24" i="1"/>
  <c r="I30" i="1"/>
  <c r="J29" i="1" s="1"/>
  <c r="R24" i="1"/>
  <c r="K12" i="1"/>
  <c r="L8" i="1"/>
  <c r="L12" i="1" s="1"/>
  <c r="L26" i="1" s="1"/>
  <c r="Q24" i="1"/>
  <c r="H32" i="1"/>
  <c r="H33" i="1" s="1"/>
  <c r="J26" i="1"/>
  <c r="I32" i="1" l="1"/>
  <c r="I33" i="1" s="1"/>
  <c r="J30" i="1"/>
  <c r="K29" i="1" s="1"/>
  <c r="J32" i="1"/>
  <c r="J33" i="1" s="1"/>
  <c r="R12" i="1"/>
  <c r="K26" i="1"/>
  <c r="Q12" i="1"/>
  <c r="K30" i="1" l="1"/>
  <c r="L29" i="1" s="1"/>
  <c r="K32" i="1"/>
  <c r="K33" i="1" s="1"/>
  <c r="L30" i="1" l="1"/>
  <c r="L32" i="1" s="1"/>
  <c r="L33" i="1" s="1"/>
</calcChain>
</file>

<file path=xl/sharedStrings.xml><?xml version="1.0" encoding="utf-8"?>
<sst xmlns="http://schemas.openxmlformats.org/spreadsheetml/2006/main" count="42" uniqueCount="39">
  <si>
    <t>Baldwin County School System</t>
  </si>
  <si>
    <t>Five Year Financial Plan</t>
  </si>
  <si>
    <t>Actual</t>
  </si>
  <si>
    <t>Budgeted</t>
  </si>
  <si>
    <t>Projected</t>
  </si>
  <si>
    <t>Assumptions</t>
  </si>
  <si>
    <t>Description</t>
  </si>
  <si>
    <t>Revenues</t>
  </si>
  <si>
    <t>State Revenue</t>
  </si>
  <si>
    <t>Federal Revenue</t>
  </si>
  <si>
    <t>Local Revenue</t>
  </si>
  <si>
    <t>Other Revenue</t>
  </si>
  <si>
    <t>Total Revenues and Other Sources*</t>
  </si>
  <si>
    <t>Expenditures by Object</t>
  </si>
  <si>
    <t>Instructional Services</t>
  </si>
  <si>
    <t>Instructional Support Services</t>
  </si>
  <si>
    <t>Operations &amp; Maintenance</t>
  </si>
  <si>
    <t>Auxilliary Services</t>
  </si>
  <si>
    <t>General Administrative Services</t>
  </si>
  <si>
    <t>Capital Outlay</t>
  </si>
  <si>
    <t>---</t>
  </si>
  <si>
    <t>Based on capital plan</t>
  </si>
  <si>
    <t>Debt Service (Leases)</t>
  </si>
  <si>
    <t>Other Expenditures</t>
  </si>
  <si>
    <t>Interfund Transfers (Net)</t>
  </si>
  <si>
    <t>Total Expenditures and Other Uses*</t>
  </si>
  <si>
    <t>(*Interfunds Transfers not shown)</t>
  </si>
  <si>
    <t>Surplus (Deficit)</t>
  </si>
  <si>
    <t>Budgetary Reserves</t>
  </si>
  <si>
    <t>General Fund, Beg. Fund Balance</t>
  </si>
  <si>
    <t>General Fund, Ending Fund Balance</t>
  </si>
  <si>
    <t>State Required One Month Reserve</t>
  </si>
  <si>
    <t>Unrestricted Fund Balance</t>
  </si>
  <si>
    <t>UFB as % of Expenditures*</t>
  </si>
  <si>
    <t>Number of Employees</t>
  </si>
  <si>
    <t>ADM (State Funded Student Enrollment)</t>
  </si>
  <si>
    <t>2015 12 mills</t>
  </si>
  <si>
    <t>Loss</t>
  </si>
  <si>
    <t>General Fund FY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</si>
</sst>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</numFmts>
  <fonts count="11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10"/>
      <color rgb="FFFF0000"/>
      <name val="Arial"/>
      <family val="2"/>
    </font>
    <font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2" fillId="0" borderId="0" xfId="0" applyFont="1"/>
    <xf numFmtId="9" fontId="3" fillId="0" borderId="1" xfId="0" applyNumberFormat="1" applyFont="1" applyBorder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3" fillId="0" borderId="0" xfId="0" applyNumberFormat="1" applyFont="1" applyProtection="1">
      <protection locked="0"/>
    </xf>
    <xf numFmtId="164" fontId="3" fillId="0" borderId="0" xfId="0" applyNumberFormat="1" applyFont="1"/>
    <xf numFmtId="3" fontId="3" fillId="3" borderId="0" xfId="0" applyNumberFormat="1" applyFont="1" applyFill="1"/>
    <xf numFmtId="3" fontId="3" fillId="4" borderId="5" xfId="0" applyNumberFormat="1" applyFont="1" applyFill="1" applyBorder="1"/>
    <xf numFmtId="3" fontId="3" fillId="0" borderId="0" xfId="0" applyNumberFormat="1" applyFont="1"/>
    <xf numFmtId="9" fontId="3" fillId="4" borderId="0" xfId="0" applyNumberFormat="1" applyFont="1" applyFill="1"/>
    <xf numFmtId="164" fontId="3" fillId="4" borderId="0" xfId="0" applyNumberFormat="1" applyFont="1" applyFill="1"/>
    <xf numFmtId="0" fontId="6" fillId="0" borderId="0" xfId="0" applyFont="1" applyProtection="1">
      <protection locked="0"/>
    </xf>
    <xf numFmtId="0" fontId="3" fillId="0" borderId="0" xfId="0" applyFont="1" applyAlignment="1">
      <alignment horizontal="left"/>
    </xf>
    <xf numFmtId="38" fontId="3" fillId="4" borderId="0" xfId="0" applyNumberFormat="1" applyFont="1" applyFill="1"/>
    <xf numFmtId="0" fontId="6" fillId="0" borderId="0" xfId="0" applyFont="1"/>
    <xf numFmtId="164" fontId="4" fillId="0" borderId="0" xfId="0" applyNumberFormat="1" applyFont="1"/>
    <xf numFmtId="5" fontId="4" fillId="0" borderId="0" xfId="0" applyNumberFormat="1" applyFont="1"/>
    <xf numFmtId="5" fontId="4" fillId="0" borderId="5" xfId="0" applyNumberFormat="1" applyFont="1" applyBorder="1"/>
    <xf numFmtId="9" fontId="4" fillId="0" borderId="1" xfId="0" applyNumberFormat="1" applyFont="1" applyBorder="1" applyAlignment="1">
      <alignment horizontal="right"/>
    </xf>
    <xf numFmtId="9" fontId="5" fillId="0" borderId="0" xfId="0" applyNumberFormat="1" applyFont="1"/>
    <xf numFmtId="9" fontId="3" fillId="0" borderId="0" xfId="0" applyNumberFormat="1" applyFont="1"/>
    <xf numFmtId="9" fontId="7" fillId="0" borderId="5" xfId="0" applyNumberFormat="1" applyFont="1" applyBorder="1"/>
    <xf numFmtId="38" fontId="3" fillId="0" borderId="5" xfId="0" applyNumberFormat="1" applyFont="1" applyBorder="1"/>
    <xf numFmtId="38" fontId="3" fillId="0" borderId="0" xfId="0" applyNumberFormat="1" applyFont="1"/>
    <xf numFmtId="9" fontId="4" fillId="0" borderId="0" xfId="0" applyNumberFormat="1" applyFont="1"/>
    <xf numFmtId="9" fontId="3" fillId="4" borderId="0" xfId="0" applyNumberFormat="1" applyFont="1" applyFill="1" applyAlignment="1">
      <alignment horizontal="right"/>
    </xf>
    <xf numFmtId="9" fontId="3" fillId="0" borderId="0" xfId="0" quotePrefix="1" applyNumberFormat="1" applyFont="1" applyAlignment="1">
      <alignment horizontal="center"/>
    </xf>
    <xf numFmtId="38" fontId="8" fillId="0" borderId="0" xfId="0" applyNumberFormat="1" applyFont="1"/>
    <xf numFmtId="38" fontId="4" fillId="0" borderId="0" xfId="0" applyNumberFormat="1" applyFont="1"/>
    <xf numFmtId="1" fontId="3" fillId="0" borderId="0" xfId="0" applyNumberFormat="1" applyFont="1"/>
    <xf numFmtId="1" fontId="4" fillId="0" borderId="0" xfId="0" applyNumberFormat="1" applyFont="1" applyAlignment="1">
      <alignment horizontal="center"/>
    </xf>
    <xf numFmtId="1" fontId="4" fillId="0" borderId="5" xfId="0" applyNumberFormat="1" applyFont="1" applyBorder="1" applyAlignment="1">
      <alignment horizontal="center"/>
    </xf>
    <xf numFmtId="5" fontId="9" fillId="0" borderId="0" xfId="0" applyNumberFormat="1" applyFont="1"/>
    <xf numFmtId="37" fontId="3" fillId="0" borderId="0" xfId="0" applyNumberFormat="1" applyFont="1"/>
    <xf numFmtId="37" fontId="3" fillId="0" borderId="5" xfId="0" applyNumberFormat="1" applyFont="1" applyBorder="1"/>
    <xf numFmtId="37" fontId="4" fillId="0" borderId="0" xfId="0" applyNumberFormat="1" applyFont="1"/>
    <xf numFmtId="5" fontId="3" fillId="0" borderId="0" xfId="0" applyNumberFormat="1" applyFont="1"/>
    <xf numFmtId="5" fontId="3" fillId="0" borderId="0" xfId="0" applyNumberFormat="1" applyFont="1" applyAlignment="1">
      <alignment wrapText="1"/>
    </xf>
    <xf numFmtId="5" fontId="3" fillId="3" borderId="0" xfId="0" applyNumberFormat="1" applyFont="1" applyFill="1"/>
    <xf numFmtId="5" fontId="3" fillId="4" borderId="5" xfId="0" applyNumberFormat="1" applyFont="1" applyFill="1" applyBorder="1"/>
    <xf numFmtId="37" fontId="3" fillId="3" borderId="0" xfId="0" applyNumberFormat="1" applyFont="1" applyFill="1"/>
    <xf numFmtId="37" fontId="3" fillId="4" borderId="5" xfId="0" applyNumberFormat="1" applyFont="1" applyFill="1" applyBorder="1"/>
    <xf numFmtId="37" fontId="9" fillId="0" borderId="0" xfId="0" applyNumberFormat="1" applyFont="1"/>
    <xf numFmtId="37" fontId="6" fillId="0" borderId="0" xfId="0" applyNumberFormat="1" applyFont="1"/>
    <xf numFmtId="37" fontId="3" fillId="4" borderId="5" xfId="0" applyNumberFormat="1" applyFont="1" applyFill="1" applyBorder="1" applyAlignment="1">
      <alignment horizontal="right"/>
    </xf>
    <xf numFmtId="37" fontId="3" fillId="0" borderId="0" xfId="0" applyNumberFormat="1" applyFont="1" applyAlignment="1">
      <alignment horizontal="right"/>
    </xf>
    <xf numFmtId="38" fontId="6" fillId="0" borderId="0" xfId="0" applyNumberFormat="1" applyFont="1"/>
    <xf numFmtId="37" fontId="7" fillId="0" borderId="0" xfId="0" applyNumberFormat="1" applyFont="1"/>
    <xf numFmtId="5" fontId="4" fillId="0" borderId="0" xfId="0" applyNumberFormat="1" applyFont="1" applyAlignment="1">
      <alignment wrapText="1"/>
    </xf>
    <xf numFmtId="37" fontId="4" fillId="0" borderId="5" xfId="0" applyNumberFormat="1" applyFont="1" applyBorder="1" applyAlignment="1">
      <alignment horizontal="right"/>
    </xf>
    <xf numFmtId="37" fontId="4" fillId="0" borderId="0" xfId="0" applyNumberFormat="1" applyFont="1" applyAlignment="1">
      <alignment horizontal="right"/>
    </xf>
    <xf numFmtId="37" fontId="9" fillId="0" borderId="0" xfId="0" applyNumberFormat="1" applyFont="1" applyAlignment="1">
      <alignment horizontal="right"/>
    </xf>
    <xf numFmtId="38" fontId="7" fillId="0" borderId="0" xfId="0" applyNumberFormat="1" applyFont="1"/>
    <xf numFmtId="0" fontId="7" fillId="0" borderId="0" xfId="0" applyFont="1"/>
    <xf numFmtId="165" fontId="3" fillId="0" borderId="0" xfId="0" applyNumberFormat="1" applyFont="1"/>
    <xf numFmtId="165" fontId="3" fillId="0" borderId="6" xfId="0" applyNumberFormat="1" applyFont="1" applyBorder="1"/>
    <xf numFmtId="165" fontId="3" fillId="0" borderId="0" xfId="0" applyNumberFormat="1" applyFont="1" applyAlignment="1">
      <alignment horizontal="right"/>
    </xf>
    <xf numFmtId="166" fontId="3" fillId="3" borderId="0" xfId="1" applyNumberFormat="1" applyFont="1" applyFill="1" applyBorder="1"/>
    <xf numFmtId="166" fontId="3" fillId="4" borderId="0" xfId="1" applyNumberFormat="1" applyFont="1" applyFill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/>
    <xf numFmtId="166" fontId="3" fillId="5" borderId="0" xfId="1" applyNumberFormat="1" applyFont="1" applyFill="1"/>
    <xf numFmtId="166" fontId="3" fillId="5" borderId="2" xfId="1" applyNumberFormat="1" applyFont="1" applyFill="1" applyBorder="1"/>
    <xf numFmtId="166" fontId="3" fillId="0" borderId="0" xfId="0" applyNumberFormat="1" applyFont="1"/>
    <xf numFmtId="43" fontId="3" fillId="0" borderId="0" xfId="0" applyNumberFormat="1" applyFont="1"/>
    <xf numFmtId="7" fontId="3" fillId="0" borderId="0" xfId="0" applyNumberFormat="1" applyFont="1"/>
    <xf numFmtId="9" fontId="3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5" fontId="4" fillId="0" borderId="0" xfId="0" applyNumberFormat="1" applyFont="1" applyAlignment="1">
      <alignment horizontal="left"/>
    </xf>
  </cellXfs>
  <cellStyles count="2">
    <cellStyle name="Comma" xfId="1" builtinId="3"/>
    <cellStyle name="Normal" xfId="0" builtinId="0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4412972085385879"/>
          <c:y val="1.79105190734653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31174089068826"/>
          <c:y val="0.14029850746268657"/>
          <c:w val="0.86234817813765186"/>
          <c:h val="0.668656716417910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'BCBE Financial Plan'!$A$26:$B$26</c:f>
              <c:strCache>
                <c:ptCount val="2"/>
                <c:pt idx="0">
                  <c:v>Surplus (Deficit)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4C9-46B2-8FA6-E0A731C2C6D9}"/>
              </c:ext>
            </c:extLst>
          </c:dPt>
          <c:dPt>
            <c:idx val="1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4C9-46B2-8FA6-E0A731C2C6D9}"/>
              </c:ext>
            </c:extLst>
          </c:dPt>
          <c:dPt>
            <c:idx val="2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4C9-46B2-8FA6-E0A731C2C6D9}"/>
              </c:ext>
            </c:extLst>
          </c:dPt>
          <c:dPt>
            <c:idx val="3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4C9-46B2-8FA6-E0A731C2C6D9}"/>
              </c:ext>
            </c:extLst>
          </c:dPt>
          <c:dPt>
            <c:idx val="4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4C9-46B2-8FA6-E0A731C2C6D9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4C9-46B2-8FA6-E0A731C2C6D9}"/>
              </c:ext>
            </c:extLst>
          </c:dPt>
          <c:cat>
            <c:numRef>
              <c:f>'BCBE Financial Plan'!$C$6:$L$6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'BCBE Financial Plan'!$C$26:$L$26</c:f>
              <c:numCache>
                <c:formatCode>"$"#,##0_);\("$"#,##0\)</c:formatCode>
                <c:ptCount val="10"/>
                <c:pt idx="0">
                  <c:v>18113902.870000005</c:v>
                </c:pt>
                <c:pt idx="1">
                  <c:v>6354656.0200000107</c:v>
                </c:pt>
                <c:pt idx="2">
                  <c:v>8381135.839999944</c:v>
                </c:pt>
                <c:pt idx="3">
                  <c:v>3720613.5199999511</c:v>
                </c:pt>
                <c:pt idx="4">
                  <c:v>1364659.9899999499</c:v>
                </c:pt>
                <c:pt idx="5">
                  <c:v>3567400.0357999802</c:v>
                </c:pt>
                <c:pt idx="6">
                  <c:v>-5088051.8818949461</c:v>
                </c:pt>
                <c:pt idx="7">
                  <c:v>-22310187.227359742</c:v>
                </c:pt>
                <c:pt idx="8">
                  <c:v>-36738095.220099896</c:v>
                </c:pt>
                <c:pt idx="9">
                  <c:v>-38177332.842073351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4C9-46B2-8FA6-E0A731C2C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0888896"/>
        <c:axId val="380889288"/>
      </c:barChart>
      <c:catAx>
        <c:axId val="38088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0889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889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08888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General Fund Ending Balance &amp; One Month Reserve Requirements</a:t>
            </a:r>
          </a:p>
        </c:rich>
      </c:tx>
      <c:layout>
        <c:manualLayout>
          <c:xMode val="edge"/>
          <c:yMode val="edge"/>
          <c:x val="0.1688212860130141"/>
          <c:y val="1.86029278667752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14118833737333"/>
          <c:y val="0.14616607812602811"/>
          <c:w val="0.8671875"/>
          <c:h val="0.572129493562608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'BCBE Financial Plan'!$B$30</c:f>
              <c:strCache>
                <c:ptCount val="1"/>
                <c:pt idx="0">
                  <c:v>General Fund, Ending Fund Balance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3ED-42AF-9F1E-CDADAC344CC7}"/>
              </c:ext>
            </c:extLst>
          </c:dPt>
          <c:dPt>
            <c:idx val="1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3ED-42AF-9F1E-CDADAC344CC7}"/>
              </c:ext>
            </c:extLst>
          </c:dPt>
          <c:dPt>
            <c:idx val="2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3ED-42AF-9F1E-CDADAC344CC7}"/>
              </c:ext>
            </c:extLst>
          </c:dPt>
          <c:dPt>
            <c:idx val="3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3ED-42AF-9F1E-CDADAC344CC7}"/>
              </c:ext>
            </c:extLst>
          </c:dPt>
          <c:dPt>
            <c:idx val="4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3ED-42AF-9F1E-CDADAC344CC7}"/>
              </c:ext>
            </c:extLst>
          </c:dPt>
          <c:cat>
            <c:numRef>
              <c:f>'BCBE Financial Plan'!$C$6:$L$6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'BCBE Financial Plan'!$C$30:$L$30</c:f>
              <c:numCache>
                <c:formatCode>#,##0_);\(#,##0\)</c:formatCode>
                <c:ptCount val="10"/>
                <c:pt idx="0">
                  <c:v>19482947.02</c:v>
                </c:pt>
                <c:pt idx="1">
                  <c:v>25794163.859999999</c:v>
                </c:pt>
                <c:pt idx="2">
                  <c:v>34424662.68</c:v>
                </c:pt>
                <c:pt idx="3">
                  <c:v>38132152.289999999</c:v>
                </c:pt>
                <c:pt idx="4">
                  <c:v>39571146.130000003</c:v>
                </c:pt>
                <c:pt idx="5">
                  <c:v>43138546.165799983</c:v>
                </c:pt>
                <c:pt idx="6">
                  <c:v>38050494.283905037</c:v>
                </c:pt>
                <c:pt idx="7">
                  <c:v>15740307.056545295</c:v>
                </c:pt>
                <c:pt idx="8">
                  <c:v>-20997788.163554601</c:v>
                </c:pt>
                <c:pt idx="9">
                  <c:v>-59175121.005627953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3ED-42AF-9F1E-CDADAC344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0890072"/>
        <c:axId val="380890464"/>
      </c:barChart>
      <c:catAx>
        <c:axId val="380890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089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890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08900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129540</xdr:colOff>
      <xdr:row>37</xdr:row>
      <xdr:rowOff>38100</xdr:rowOff>
    </xdr:from>
    <xdr:to>
      <xdr:col>7</xdr:col>
      <xdr:colOff>312420</xdr:colOff>
      <xdr:row>55</xdr:row>
      <xdr:rowOff>160020</xdr:rowOff>
    </xdr:to>
    <xdr:graphicFrame macro="">
      <xdr:nvGraphicFramePr>
        <xdr:cNvPr id="2" name="Chart 45">
          <a:extLst>
            <a:ext uri="{FF2B5EF4-FFF2-40B4-BE49-F238E27FC236}">
              <a16:creationId xmlns:a16="http://schemas.microsoft.com/office/drawing/2014/main" id="{DEFC7CCE-4DA9-4209-B61B-5C72DCCFE5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533400</xdr:colOff>
      <xdr:row>37</xdr:row>
      <xdr:rowOff>30480</xdr:rowOff>
    </xdr:from>
    <xdr:to>
      <xdr:col>16</xdr:col>
      <xdr:colOff>7620</xdr:colOff>
      <xdr:row>58</xdr:row>
      <xdr:rowOff>45720</xdr:rowOff>
    </xdr:to>
    <xdr:graphicFrame macro="">
      <xdr:nvGraphicFramePr>
        <xdr:cNvPr id="3" name="Chart 46">
          <a:extLst>
            <a:ext uri="{FF2B5EF4-FFF2-40B4-BE49-F238E27FC236}">
              <a16:creationId xmlns:a16="http://schemas.microsoft.com/office/drawing/2014/main" id="{FADAB7EE-9A9F-47F3-BDFF-15D3596E2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617220</xdr:colOff>
      <xdr:row>37</xdr:row>
      <xdr:rowOff>0</xdr:rowOff>
    </xdr:from>
    <xdr:to>
      <xdr:col>13</xdr:col>
      <xdr:colOff>30568</xdr:colOff>
      <xdr:row>37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E17585B-14B3-4AAD-BD64-62C618053DF9}"/>
            </a:ext>
          </a:extLst>
        </xdr:cNvPr>
        <xdr:cNvSpPr txBox="1"/>
      </xdr:nvSpPr>
      <xdr:spPr>
        <a:xfrm>
          <a:off x="13724890" y="5669280"/>
          <a:ext cx="1955888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1</a:t>
          </a:r>
          <a:r>
            <a:rPr lang="en-US" sz="1200" baseline="0"/>
            <a:t> Month Reserve Requirement</a:t>
          </a:r>
          <a:endParaRPr lang="en-US" sz="1200"/>
        </a:p>
      </xdr:txBody>
    </xdr:sp>
    <xdr:clientData/>
  </xdr:twoCellAnchor>
  <xdr:twoCellAnchor>
    <xdr:from>
      <xdr:col>6</xdr:col>
      <xdr:colOff>103505</xdr:colOff>
      <xdr:row>0</xdr:row>
      <xdr:rowOff>67310</xdr:rowOff>
    </xdr:from>
    <xdr:to>
      <xdr:col>10</xdr:col>
      <xdr:colOff>1066800</xdr:colOff>
      <xdr:row>3</xdr:row>
      <xdr:rowOff>163285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EE74521-50EF-4956-8B17-836026208843}"/>
            </a:ext>
          </a:extLst>
        </xdr:cNvPr>
        <xdr:cNvSpPr txBox="1"/>
      </xdr:nvSpPr>
      <xdr:spPr>
        <a:xfrm>
          <a:off x="8246019" y="67310"/>
          <a:ext cx="5916295" cy="683804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rgbClr val="FF0000"/>
              </a:solidFill>
            </a:rPr>
            <a:t>Assumptions: </a:t>
          </a:r>
          <a:r>
            <a:rPr lang="en-US" sz="1400"/>
            <a:t>Property</a:t>
          </a:r>
          <a:r>
            <a:rPr lang="en-US" sz="1400" baseline="0"/>
            <a:t> Tax Revenue will be reduced to 10 mills during FY 17.            </a:t>
          </a:r>
        </a:p>
        <a:p>
          <a:r>
            <a:rPr lang="en-US" sz="1400" baseline="0"/>
            <a:t>The 5yr 1% tax will expire on May 31, 2018</a:t>
          </a:r>
          <a:endParaRPr lang="en-US" sz="1400"/>
        </a:p>
      </xdr:txBody>
    </xdr:sp>
    <xdr:clientData/>
  </xdr:twoCellAnchor>
  <xdr:twoCellAnchor>
    <xdr:from>
      <xdr:col>8</xdr:col>
      <xdr:colOff>514826</xdr:colOff>
      <xdr:row>37</xdr:row>
      <xdr:rowOff>0</xdr:rowOff>
    </xdr:from>
    <xdr:to>
      <xdr:col>16</xdr:col>
      <xdr:colOff>102897</xdr:colOff>
      <xdr:row>37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6BC93DDF-9FD4-402F-AFD7-659775F9BEC2}"/>
            </a:ext>
          </a:extLst>
        </xdr:cNvPr>
        <xdr:cNvCxnSpPr/>
      </xdr:nvCxnSpPr>
      <xdr:spPr>
        <a:xfrm>
          <a:off x="11118056" y="5669280"/>
          <a:ext cx="6279701" cy="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0.1819</cdr:x>
      <cdr:y>0.92037</cdr:y>
    </cdr:from>
    <cdr:to>
      <cdr:x>0.2971</cdr:x>
      <cdr:y>0.98221</cdr:y>
    </cdr:to>
    <cdr:sp macro="" textlink="">
      <cdr:nvSpPr>
        <cdr:cNvPr id="3379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0417" y="2946352"/>
          <a:ext cx="533567" cy="2002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Actual</a:t>
          </a:r>
        </a:p>
      </cdr:txBody>
    </cdr:sp>
  </cdr:relSizeAnchor>
  <cdr:relSizeAnchor xmlns:cdr="http://schemas.openxmlformats.org/drawingml/2006/chartDrawing">
    <cdr:from>
      <cdr:x>0.14037</cdr:x>
      <cdr:y>0.93735</cdr:y>
    </cdr:from>
    <cdr:to>
      <cdr:x>0.16924</cdr:x>
      <cdr:y>0.98221</cdr:y>
    </cdr:to>
    <cdr:sp macro="" textlink="">
      <cdr:nvSpPr>
        <cdr:cNvPr id="33799" name="Rectangl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8308" y="3003798"/>
          <a:ext cx="142054" cy="142837"/>
        </a:xfrm>
        <a:prstGeom xmlns:a="http://schemas.openxmlformats.org/drawingml/2006/main" prst="rect">
          <a:avLst/>
        </a:prstGeom>
        <a:solidFill xmlns:a="http://schemas.openxmlformats.org/drawingml/2006/main">
          <a:srgbClr val="CCFFCC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0.39533</cdr:x>
      <cdr:y>0.93735</cdr:y>
    </cdr:from>
    <cdr:to>
      <cdr:x>0.42547</cdr:x>
      <cdr:y>0.98221</cdr:y>
    </cdr:to>
    <cdr:sp macro="" textlink="">
      <cdr:nvSpPr>
        <cdr:cNvPr id="33800" name="Rectangl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7021" y="2839883"/>
          <a:ext cx="130293" cy="135182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0.45119</cdr:x>
      <cdr:y>0.92037</cdr:y>
    </cdr:from>
    <cdr:to>
      <cdr:x>0.61659</cdr:x>
      <cdr:y>0.98221</cdr:y>
    </cdr:to>
    <cdr:sp macro="" textlink="">
      <cdr:nvSpPr>
        <cdr:cNvPr id="33801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72724" y="2785513"/>
          <a:ext cx="707594" cy="1895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Estimated</a:t>
          </a:r>
        </a:p>
      </cdr:txBody>
    </cdr:sp>
  </cdr:relSizeAnchor>
  <cdr:relSizeAnchor xmlns:cdr="http://schemas.openxmlformats.org/drawingml/2006/chartDrawing">
    <cdr:from>
      <cdr:x>0.69083</cdr:x>
      <cdr:y>0.93735</cdr:y>
    </cdr:from>
    <cdr:to>
      <cdr:x>0.72345</cdr:x>
      <cdr:y>0.98221</cdr:y>
    </cdr:to>
    <cdr:sp macro="" textlink="">
      <cdr:nvSpPr>
        <cdr:cNvPr id="33802" name="Rectangl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03489" y="2839883"/>
          <a:ext cx="130293" cy="135182"/>
        </a:xfrm>
        <a:prstGeom xmlns:a="http://schemas.openxmlformats.org/drawingml/2006/main" prst="rect">
          <a:avLst/>
        </a:prstGeom>
        <a:solidFill xmlns:a="http://schemas.openxmlformats.org/drawingml/2006/main">
          <a:srgbClr val="9999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0.74324</cdr:x>
      <cdr:y>0.92115</cdr:y>
    </cdr:from>
    <cdr:to>
      <cdr:x>0.92147</cdr:x>
      <cdr:y>0.98718</cdr:y>
    </cdr:to>
    <cdr:sp macro="" textlink="">
      <cdr:nvSpPr>
        <cdr:cNvPr id="3380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8487" y="2790824"/>
          <a:ext cx="762963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Projected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0.3973</cdr:x>
      <cdr:y>0.82606</cdr:y>
    </cdr:from>
    <cdr:to>
      <cdr:x>0.46417</cdr:x>
      <cdr:y>0.89166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26189" y="2981126"/>
          <a:ext cx="484091" cy="2507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Actual</a:t>
          </a:r>
        </a:p>
      </cdr:txBody>
    </cdr:sp>
  </cdr:relSizeAnchor>
  <cdr:relSizeAnchor xmlns:cdr="http://schemas.openxmlformats.org/drawingml/2006/chartDrawing">
    <cdr:from>
      <cdr:x>0.75081</cdr:x>
      <cdr:y>0</cdr:y>
    </cdr:from>
    <cdr:to>
      <cdr:x>0.84501</cdr:x>
      <cdr:y>1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02694" y="0"/>
          <a:ext cx="677878" cy="2001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Projected</a:t>
          </a:r>
        </a:p>
      </cdr:txBody>
    </cdr:sp>
  </cdr:relSizeAnchor>
  <cdr:relSizeAnchor xmlns:cdr="http://schemas.openxmlformats.org/drawingml/2006/chartDrawing">
    <cdr:from>
      <cdr:x>0.36062</cdr:x>
      <cdr:y>0.82793</cdr:y>
    </cdr:from>
    <cdr:to>
      <cdr:x>0.38769</cdr:x>
      <cdr:y>0.87178</cdr:y>
    </cdr:to>
    <cdr:sp macro="" textlink="">
      <cdr:nvSpPr>
        <cdr:cNvPr id="4403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40789" y="2987040"/>
          <a:ext cx="210692" cy="168837"/>
        </a:xfrm>
        <a:prstGeom xmlns:a="http://schemas.openxmlformats.org/drawingml/2006/main" prst="rect">
          <a:avLst/>
        </a:prstGeom>
        <a:solidFill xmlns:a="http://schemas.openxmlformats.org/drawingml/2006/main">
          <a:srgbClr val="CCFFCC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0.52404</cdr:x>
      <cdr:y>0.83053</cdr:y>
    </cdr:from>
    <cdr:to>
      <cdr:x>0.5542</cdr:x>
      <cdr:y>0.87178</cdr:y>
    </cdr:to>
    <cdr:sp macro="" textlink="">
      <cdr:nvSpPr>
        <cdr:cNvPr id="4403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69138" y="2999219"/>
          <a:ext cx="222911" cy="156658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0.70573</cdr:x>
      <cdr:y>0.82685</cdr:y>
    </cdr:from>
    <cdr:to>
      <cdr:x>0.73293</cdr:x>
      <cdr:y>0.86858</cdr:y>
    </cdr:to>
    <cdr:sp macro="" textlink="">
      <cdr:nvSpPr>
        <cdr:cNvPr id="44039" name="Rectangl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4775" y="2983098"/>
          <a:ext cx="222911" cy="160196"/>
        </a:xfrm>
        <a:prstGeom xmlns:a="http://schemas.openxmlformats.org/drawingml/2006/main" prst="rect">
          <a:avLst/>
        </a:prstGeom>
        <a:solidFill xmlns:a="http://schemas.openxmlformats.org/drawingml/2006/main">
          <a:srgbClr val="9999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0.5687</cdr:x>
      <cdr:y>0.824</cdr:y>
    </cdr:from>
    <cdr:to>
      <cdr:x>0.66354</cdr:x>
      <cdr:y>0.88258</cdr:y>
    </cdr:to>
    <cdr:sp macro="" textlink="">
      <cdr:nvSpPr>
        <cdr:cNvPr id="4404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99963" y="2970965"/>
          <a:ext cx="744478" cy="2278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Estimated</a:t>
          </a:r>
        </a:p>
      </cdr:txBody>
    </cdr:sp>
  </cdr:relSizeAnchor>
  <cdr:relSizeAnchor xmlns:cdr="http://schemas.openxmlformats.org/drawingml/2006/chartDrawing">
    <cdr:from>
      <cdr:x>0.44135</cdr:x>
      <cdr:y>0.9247</cdr:y>
    </cdr:from>
    <cdr:to>
      <cdr:x>0.47466</cdr:x>
      <cdr:y>0.96736</cdr:y>
    </cdr:to>
    <cdr:sp macro="" textlink="">
      <cdr:nvSpPr>
        <cdr:cNvPr id="8" name="Rectangl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7881" y="3359468"/>
          <a:ext cx="233680" cy="16803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7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2EEB6-4E77-4BD2-BD13-F5606D9878A7}">
  <sheetPr codeName="Sheet2">
    <tabColor indexed="47"/>
    <pageSetUpPr fitToPage="1"/>
  </sheetPr>
  <dimension ref="A1:T71"/>
  <sheetViews>
    <sheetView tabSelected="1" zoomScale="70" zoomScaleNormal="70" workbookViewId="0">
      <pane xSplit="2" ySplit="6" topLeftCell="C7" activePane="bottomRight" state="frozen"/>
      <selection sqref="A1:B1"/>
      <selection pane="topRight" sqref="A1:B1"/>
      <selection pane="bottomLeft" sqref="A1:B1"/>
      <selection pane="bottomRight" activeCell="L68" sqref="L68"/>
    </sheetView>
  </sheetViews>
  <sheetFormatPr defaultColWidth="9.6328125" defaultRowHeight="12.5" x14ac:dyDescent="0.25"/>
  <cols>
    <col min="1" max="1" width="1.453125" style="4" customWidth="1"/>
    <col min="2" max="2" width="46" style="4" customWidth="1"/>
    <col min="3" max="3" width="17.6328125" style="4" customWidth="1"/>
    <col min="4" max="4" width="16.90625" style="4" customWidth="1"/>
    <col min="5" max="5" width="17.453125" style="4" customWidth="1"/>
    <col min="6" max="6" width="17.08984375" style="4" customWidth="1"/>
    <col min="7" max="7" width="18.453125" style="4" customWidth="1"/>
    <col min="8" max="8" width="16.6328125" style="4" customWidth="1"/>
    <col min="9" max="9" width="17.36328125" style="4" customWidth="1"/>
    <col min="10" max="10" width="18.54296875" style="4" customWidth="1"/>
    <col min="11" max="11" width="19" style="4" bestFit="1" customWidth="1"/>
    <col min="12" max="12" width="17.453125" style="4" bestFit="1" customWidth="1"/>
    <col min="13" max="13" width="9.90625" style="4" customWidth="1"/>
    <col min="14" max="14" width="10.08984375" style="4" bestFit="1" customWidth="1"/>
    <col min="15" max="15" width="6" style="4" customWidth="1"/>
    <col min="16" max="16" width="7.453125" style="4" customWidth="1"/>
    <col min="17" max="17" width="6.6328125" style="4" customWidth="1"/>
    <col min="18" max="18" width="6.90625" style="4" customWidth="1"/>
    <col min="19" max="19" width="13.54296875" style="4" customWidth="1"/>
    <col min="20" max="20" width="26.36328125" style="4" customWidth="1"/>
    <col min="21" max="16384" width="9.6328125" style="4"/>
  </cols>
  <sheetData>
    <row r="1" spans="1:20" s="2" customFormat="1" ht="15.5" x14ac:dyDescent="0.35">
      <c r="A1" s="1" t="s">
        <v>0</v>
      </c>
    </row>
    <row r="2" spans="1:20" s="2" customFormat="1" ht="15.5" x14ac:dyDescent="0.35">
      <c r="A2" s="1" t="s">
        <v>1</v>
      </c>
      <c r="C2" s="1"/>
    </row>
    <row r="3" spans="1:20" s="2" customFormat="1" ht="15.5" x14ac:dyDescent="0.35">
      <c r="A3" s="1" t="s">
        <v>38</v>
      </c>
      <c r="K3" s="1"/>
      <c r="L3" s="1"/>
      <c r="M3" s="3"/>
    </row>
    <row r="4" spans="1:20" s="2" customFormat="1" ht="16" thickBot="1" x14ac:dyDescent="0.4">
      <c r="A4" s="1"/>
      <c r="K4" s="1"/>
      <c r="L4" s="1"/>
      <c r="M4" s="76"/>
    </row>
    <row r="5" spans="1:20" ht="38.25" customHeight="1" thickTop="1" x14ac:dyDescent="0.3">
      <c r="B5" s="5"/>
      <c r="C5" s="77" t="s">
        <v>2</v>
      </c>
      <c r="D5" s="77"/>
      <c r="E5" s="77"/>
      <c r="F5" s="77"/>
      <c r="G5" s="6" t="s">
        <v>3</v>
      </c>
      <c r="H5" s="77" t="s">
        <v>4</v>
      </c>
      <c r="I5" s="77"/>
      <c r="J5" s="77"/>
      <c r="K5" s="77"/>
      <c r="L5" s="7"/>
      <c r="M5" s="78" t="str">
        <f>"Avg Ann Increase"&amp;" "&amp;C6&amp;"- present"</f>
        <v>Avg Ann Increase 2011- present</v>
      </c>
      <c r="N5" s="79" t="s">
        <v>5</v>
      </c>
      <c r="O5" s="79"/>
      <c r="P5" s="79"/>
      <c r="Q5" s="79"/>
      <c r="R5" s="79"/>
      <c r="S5" s="79"/>
    </row>
    <row r="6" spans="1:20" ht="13" x14ac:dyDescent="0.3">
      <c r="B6" s="5"/>
      <c r="C6" s="8">
        <v>2011</v>
      </c>
      <c r="D6" s="8">
        <v>2012</v>
      </c>
      <c r="E6" s="8">
        <v>2013</v>
      </c>
      <c r="F6" s="8">
        <v>2014</v>
      </c>
      <c r="G6" s="9">
        <v>2015</v>
      </c>
      <c r="H6" s="8">
        <v>2016</v>
      </c>
      <c r="I6" s="10">
        <f>H6+1</f>
        <v>2017</v>
      </c>
      <c r="J6" s="10">
        <f>I6+1</f>
        <v>2018</v>
      </c>
      <c r="K6" s="10">
        <f>J6+1</f>
        <v>2019</v>
      </c>
      <c r="L6" s="10">
        <f>K6+1</f>
        <v>2020</v>
      </c>
      <c r="M6" s="78"/>
      <c r="N6" s="8">
        <f>H6</f>
        <v>2016</v>
      </c>
      <c r="O6" s="8">
        <f>I6</f>
        <v>2017</v>
      </c>
      <c r="P6" s="8">
        <f>J6</f>
        <v>2018</v>
      </c>
      <c r="Q6" s="8">
        <f>K6</f>
        <v>2019</v>
      </c>
      <c r="R6" s="8">
        <v>2020</v>
      </c>
      <c r="S6" s="8" t="s">
        <v>6</v>
      </c>
    </row>
    <row r="7" spans="1:20" ht="13" x14ac:dyDescent="0.3">
      <c r="A7" s="5" t="s">
        <v>7</v>
      </c>
      <c r="B7" s="5"/>
      <c r="C7" s="8"/>
      <c r="D7" s="8"/>
      <c r="E7" s="8"/>
      <c r="F7" s="8"/>
      <c r="G7" s="11"/>
      <c r="H7" s="8"/>
      <c r="I7" s="8"/>
      <c r="J7" s="8"/>
      <c r="K7" s="8"/>
      <c r="L7" s="8"/>
      <c r="M7" s="12"/>
      <c r="N7" s="8"/>
      <c r="O7" s="8"/>
      <c r="P7" s="8"/>
      <c r="Q7" s="8"/>
      <c r="R7" s="8"/>
      <c r="S7" s="8"/>
    </row>
    <row r="8" spans="1:20" s="14" customFormat="1" x14ac:dyDescent="0.25">
      <c r="A8" s="13"/>
      <c r="B8" s="14" t="s">
        <v>8</v>
      </c>
      <c r="C8" s="15">
        <v>96444623.540000007</v>
      </c>
      <c r="D8" s="15">
        <v>104908320.04000001</v>
      </c>
      <c r="E8" s="15">
        <v>117928733.13</v>
      </c>
      <c r="F8" s="15">
        <v>128172408.45999999</v>
      </c>
      <c r="G8" s="16">
        <v>134120172</v>
      </c>
      <c r="H8" s="17">
        <f t="shared" ref="H8:L11" si="0">IF(N8="","",G8*(1+N8))</f>
        <v>136802575.44</v>
      </c>
      <c r="I8" s="17">
        <f t="shared" si="0"/>
        <v>139538626.9488</v>
      </c>
      <c r="J8" s="17">
        <f t="shared" si="0"/>
        <v>142329399.48777601</v>
      </c>
      <c r="K8" s="17">
        <f t="shared" si="0"/>
        <v>145175987.47753152</v>
      </c>
      <c r="L8" s="17">
        <f t="shared" si="0"/>
        <v>148079507.22708216</v>
      </c>
      <c r="M8" s="3">
        <f>IF(C8="","",IF(AND(G8&gt;=0,G8&lt;&gt;"",C8&gt;0),(G8/C8)^(1/4)-1,IF(AND(F8&gt;=0,C8&gt;0),(F8/C8)^(1/3)-1,"N/A")))</f>
        <v>8.5935472796184964E-2</v>
      </c>
      <c r="N8" s="18">
        <v>0.02</v>
      </c>
      <c r="O8" s="18">
        <v>0.02</v>
      </c>
      <c r="P8" s="18">
        <v>0.02</v>
      </c>
      <c r="Q8" s="18">
        <v>0.02</v>
      </c>
      <c r="R8" s="18">
        <v>0.02</v>
      </c>
      <c r="S8" s="19"/>
      <c r="T8" s="3"/>
    </row>
    <row r="9" spans="1:20" s="23" customFormat="1" ht="13" x14ac:dyDescent="0.3">
      <c r="A9" s="20"/>
      <c r="B9" s="21" t="s">
        <v>9</v>
      </c>
      <c r="C9" s="15">
        <v>0</v>
      </c>
      <c r="D9" s="15">
        <v>0</v>
      </c>
      <c r="E9" s="15">
        <v>0</v>
      </c>
      <c r="F9" s="15">
        <v>0</v>
      </c>
      <c r="G9" s="16">
        <v>0</v>
      </c>
      <c r="H9" s="17" t="str">
        <f t="shared" si="0"/>
        <v/>
      </c>
      <c r="I9" s="17" t="str">
        <f t="shared" si="0"/>
        <v/>
      </c>
      <c r="J9" s="17" t="str">
        <f t="shared" si="0"/>
        <v/>
      </c>
      <c r="K9" s="17" t="str">
        <f t="shared" si="0"/>
        <v/>
      </c>
      <c r="L9" s="17" t="str">
        <f t="shared" si="0"/>
        <v/>
      </c>
      <c r="M9" s="3" t="str">
        <f>IF(C9="","",IF(AND(G9&gt;=0,G9&lt;&gt;"",C9&gt;0),(G9/C9)^(1/4)-1,IF(AND(F9&gt;=0,C9&gt;0),(F9/C9)^(1/3)-1,"N/A")))</f>
        <v>N/A</v>
      </c>
      <c r="N9" s="18"/>
      <c r="O9" s="18"/>
      <c r="P9" s="18"/>
      <c r="Q9" s="18"/>
      <c r="R9" s="18"/>
      <c r="S9" s="22"/>
      <c r="T9" s="3"/>
    </row>
    <row r="10" spans="1:20" s="23" customFormat="1" ht="13" x14ac:dyDescent="0.3">
      <c r="A10" s="20"/>
      <c r="B10" s="21" t="s">
        <v>10</v>
      </c>
      <c r="C10" s="15">
        <v>113202604.73</v>
      </c>
      <c r="D10" s="15">
        <v>109092907.31</v>
      </c>
      <c r="E10" s="15">
        <v>112235094.51000001</v>
      </c>
      <c r="F10" s="15">
        <v>113051806.5</v>
      </c>
      <c r="G10" s="16">
        <v>107597676.64</v>
      </c>
      <c r="H10" s="17">
        <f t="shared" si="0"/>
        <v>109749630.1728</v>
      </c>
      <c r="I10" s="17">
        <f t="shared" si="0"/>
        <v>101518407.90984</v>
      </c>
      <c r="J10" s="17">
        <f t="shared" si="0"/>
        <v>82229910.406970412</v>
      </c>
      <c r="K10" s="17">
        <f t="shared" si="0"/>
        <v>69895423.845924854</v>
      </c>
      <c r="L10" s="17">
        <f t="shared" si="0"/>
        <v>70594378.084384099</v>
      </c>
      <c r="M10" s="3">
        <f>IF(C10="","",IF(AND(G10&gt;=0,G10&lt;&gt;"",C10&gt;0),(G10/C10)^(1/4)-1,IF(AND(F10&gt;=0,C10&gt;0),(F10/C10)^(1/3)-1,"N/A")))</f>
        <v>-1.2614788161207868E-2</v>
      </c>
      <c r="N10" s="18">
        <v>0.02</v>
      </c>
      <c r="O10" s="18">
        <v>-7.4999999999999997E-2</v>
      </c>
      <c r="P10" s="18">
        <v>-0.19</v>
      </c>
      <c r="Q10" s="18">
        <v>-0.15</v>
      </c>
      <c r="R10" s="18">
        <v>0.01</v>
      </c>
      <c r="S10" s="22"/>
      <c r="T10" s="3"/>
    </row>
    <row r="11" spans="1:20" s="23" customFormat="1" ht="13" x14ac:dyDescent="0.3">
      <c r="A11" s="20"/>
      <c r="B11" s="21" t="s">
        <v>11</v>
      </c>
      <c r="C11" s="15">
        <v>1105427.29</v>
      </c>
      <c r="D11" s="15">
        <v>1265406.1499999999</v>
      </c>
      <c r="E11" s="15">
        <v>1181122.76</v>
      </c>
      <c r="F11" s="15">
        <v>977945.98</v>
      </c>
      <c r="G11" s="16">
        <v>367000</v>
      </c>
      <c r="H11" s="17">
        <f t="shared" si="0"/>
        <v>367000</v>
      </c>
      <c r="I11" s="17">
        <f t="shared" si="0"/>
        <v>367000</v>
      </c>
      <c r="J11" s="17">
        <f t="shared" si="0"/>
        <v>367000</v>
      </c>
      <c r="K11" s="17">
        <f t="shared" si="0"/>
        <v>367000</v>
      </c>
      <c r="L11" s="17">
        <f t="shared" si="0"/>
        <v>367000</v>
      </c>
      <c r="M11" s="3">
        <f>IF(C11="","",IF(AND(G11&gt;=0,G11&lt;&gt;"",C11&gt;0),(G11/C11)^(1/4)-1,IF(AND(F11&gt;=0,C11&gt;0),(F11/C11)^(1/3)-1,"N/A")))</f>
        <v>-0.24092625436648907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22"/>
      <c r="T11" s="3"/>
    </row>
    <row r="12" spans="1:20" s="24" customFormat="1" ht="13" x14ac:dyDescent="0.3">
      <c r="B12" s="24" t="s">
        <v>12</v>
      </c>
      <c r="C12" s="25">
        <f t="shared" ref="C12:L12" si="1">SUM(C8:C11)</f>
        <v>210752655.56</v>
      </c>
      <c r="D12" s="25">
        <f t="shared" si="1"/>
        <v>215266633.50000003</v>
      </c>
      <c r="E12" s="25">
        <f t="shared" si="1"/>
        <v>231344950.39999998</v>
      </c>
      <c r="F12" s="25">
        <f t="shared" si="1"/>
        <v>242202160.93999997</v>
      </c>
      <c r="G12" s="26">
        <f t="shared" si="1"/>
        <v>242084848.63999999</v>
      </c>
      <c r="H12" s="25">
        <f t="shared" si="1"/>
        <v>246919205.6128</v>
      </c>
      <c r="I12" s="25">
        <f t="shared" si="1"/>
        <v>241424034.85864002</v>
      </c>
      <c r="J12" s="25">
        <f t="shared" si="1"/>
        <v>224926309.89474642</v>
      </c>
      <c r="K12" s="25">
        <f t="shared" si="1"/>
        <v>215438411.32345638</v>
      </c>
      <c r="L12" s="25">
        <f t="shared" si="1"/>
        <v>219040885.31146628</v>
      </c>
      <c r="M12" s="27">
        <f>IF(C12="","",IF(AND(G12&gt;=0,G12&lt;&gt;"",C12&gt;0),(G12/C12)^(1/4)-1,IF(AND(F12&gt;=0,C12&gt;0),(F12/C12)^(1/3)-1,"N/A")))</f>
        <v>3.5258102887412379E-2</v>
      </c>
      <c r="N12" s="28">
        <f>IF(G12&lt;=0,"",(H12-G12)/G12)</f>
        <v>1.9969680052092403E-2</v>
      </c>
      <c r="O12" s="28">
        <f>IF(H12&lt;=0,"",(I12-H12)/H12)</f>
        <v>-2.2254934526142522E-2</v>
      </c>
      <c r="P12" s="28">
        <f>IF(I12&lt;=0,"",(J12-I12)/I12)</f>
        <v>-6.8335056091467589E-2</v>
      </c>
      <c r="Q12" s="28">
        <f>IF(J12&lt;=0,"",(K12-J12)/J12)</f>
        <v>-4.2182253270992974E-2</v>
      </c>
      <c r="R12" s="28">
        <f>IF(K12&lt;=0,"",(L12-K12)/K12)</f>
        <v>1.6721595586783235E-2</v>
      </c>
    </row>
    <row r="13" spans="1:20" ht="9" customHeight="1" x14ac:dyDescent="0.3">
      <c r="C13" s="29"/>
      <c r="D13" s="29"/>
      <c r="E13" s="29"/>
      <c r="F13" s="29"/>
      <c r="G13" s="30"/>
      <c r="M13" s="3"/>
      <c r="N13" s="29"/>
      <c r="O13" s="29"/>
      <c r="P13" s="29"/>
      <c r="Q13" s="29"/>
      <c r="R13" s="29"/>
    </row>
    <row r="14" spans="1:20" ht="13" x14ac:dyDescent="0.3">
      <c r="A14" s="5" t="s">
        <v>13</v>
      </c>
      <c r="C14" s="17"/>
      <c r="D14" s="17"/>
      <c r="E14" s="17"/>
      <c r="F14" s="17"/>
      <c r="G14" s="31"/>
      <c r="H14" s="32"/>
      <c r="I14" s="32"/>
      <c r="J14" s="32"/>
      <c r="K14" s="32"/>
      <c r="L14" s="32"/>
      <c r="M14" s="3"/>
      <c r="N14" s="33"/>
      <c r="O14" s="29"/>
      <c r="P14" s="29"/>
      <c r="Q14" s="29"/>
      <c r="R14" s="29"/>
      <c r="S14" s="32"/>
      <c r="T14" s="32"/>
    </row>
    <row r="15" spans="1:20" x14ac:dyDescent="0.25">
      <c r="B15" s="4" t="s">
        <v>14</v>
      </c>
      <c r="C15" s="15">
        <v>117340205.84999999</v>
      </c>
      <c r="D15" s="15">
        <v>115171871.2</v>
      </c>
      <c r="E15" s="15">
        <v>122506518.27</v>
      </c>
      <c r="F15" s="15">
        <v>130664041.28</v>
      </c>
      <c r="G15" s="16">
        <v>138930954.22</v>
      </c>
      <c r="H15" s="17">
        <f t="shared" ref="H15:L19" si="2">IF(N15="","",G15*(1+N15))</f>
        <v>141709573.3044</v>
      </c>
      <c r="I15" s="17">
        <f t="shared" si="2"/>
        <v>144543764.77048799</v>
      </c>
      <c r="J15" s="17">
        <f t="shared" si="2"/>
        <v>147434640.06589776</v>
      </c>
      <c r="K15" s="17">
        <f t="shared" si="2"/>
        <v>150383332.86721572</v>
      </c>
      <c r="L15" s="17">
        <f t="shared" si="2"/>
        <v>153390999.52456003</v>
      </c>
      <c r="M15" s="3">
        <f t="shared" ref="M15:M23" si="3">IF(C15="","",IF(AND(G15&gt;=0,G15&lt;&gt;"",C15&gt;0),(G15/C15)^(1/4)-1,IF(AND(F15&gt;=0,C15&gt;0),(F15/C15)^(1/3)-1,"N/A")))</f>
        <v>4.3129057230163026E-2</v>
      </c>
      <c r="N15" s="34">
        <v>0.02</v>
      </c>
      <c r="O15" s="34">
        <v>0.02</v>
      </c>
      <c r="P15" s="34">
        <v>0.02</v>
      </c>
      <c r="Q15" s="34">
        <v>0.02</v>
      </c>
      <c r="R15" s="34">
        <v>0.02</v>
      </c>
      <c r="S15" s="22"/>
      <c r="T15" s="32"/>
    </row>
    <row r="16" spans="1:20" x14ac:dyDescent="0.25">
      <c r="B16" s="4" t="s">
        <v>15</v>
      </c>
      <c r="C16" s="15">
        <v>28364247.34</v>
      </c>
      <c r="D16" s="15">
        <v>35141364.789999999</v>
      </c>
      <c r="E16" s="15">
        <v>34948181.469999999</v>
      </c>
      <c r="F16" s="15">
        <v>36701575.689999998</v>
      </c>
      <c r="G16" s="16">
        <v>38954707.32</v>
      </c>
      <c r="H16" s="17">
        <f t="shared" si="2"/>
        <v>39733801.466399997</v>
      </c>
      <c r="I16" s="17">
        <f t="shared" si="2"/>
        <v>40528477.495728001</v>
      </c>
      <c r="J16" s="17">
        <f t="shared" si="2"/>
        <v>41339047.045642562</v>
      </c>
      <c r="K16" s="17">
        <f t="shared" si="2"/>
        <v>42165827.986555412</v>
      </c>
      <c r="L16" s="17">
        <f t="shared" si="2"/>
        <v>43009144.546286523</v>
      </c>
      <c r="M16" s="3">
        <f t="shared" si="3"/>
        <v>8.2548021111389369E-2</v>
      </c>
      <c r="N16" s="34">
        <v>0.02</v>
      </c>
      <c r="O16" s="34">
        <v>0.02</v>
      </c>
      <c r="P16" s="34">
        <v>0.02</v>
      </c>
      <c r="Q16" s="34">
        <v>0.02</v>
      </c>
      <c r="R16" s="34">
        <v>0.02</v>
      </c>
      <c r="S16" s="22"/>
      <c r="T16" s="32"/>
    </row>
    <row r="17" spans="1:20" x14ac:dyDescent="0.25">
      <c r="B17" s="4" t="s">
        <v>16</v>
      </c>
      <c r="C17" s="15">
        <v>10567764.66</v>
      </c>
      <c r="D17" s="15">
        <v>10830783.59</v>
      </c>
      <c r="E17" s="15">
        <v>11134413.109999999</v>
      </c>
      <c r="F17" s="15">
        <v>12392911.210000001</v>
      </c>
      <c r="G17" s="16">
        <f>17750463.08-5000000</f>
        <v>12750463.079999998</v>
      </c>
      <c r="H17" s="17">
        <f t="shared" si="2"/>
        <v>13005472.341599999</v>
      </c>
      <c r="I17" s="17">
        <f t="shared" si="2"/>
        <v>13265581.788431998</v>
      </c>
      <c r="J17" s="17">
        <f t="shared" si="2"/>
        <v>13530893.424200639</v>
      </c>
      <c r="K17" s="17">
        <f t="shared" si="2"/>
        <v>13801511.292684652</v>
      </c>
      <c r="L17" s="17">
        <f t="shared" si="2"/>
        <v>14077541.518538345</v>
      </c>
      <c r="M17" s="3">
        <f t="shared" si="3"/>
        <v>4.8058938424086595E-2</v>
      </c>
      <c r="N17" s="34">
        <v>0.02</v>
      </c>
      <c r="O17" s="34">
        <v>0.02</v>
      </c>
      <c r="P17" s="34">
        <v>0.02</v>
      </c>
      <c r="Q17" s="34">
        <v>0.02</v>
      </c>
      <c r="R17" s="34">
        <v>0.02</v>
      </c>
      <c r="S17" s="22"/>
      <c r="T17" s="32"/>
    </row>
    <row r="18" spans="1:20" x14ac:dyDescent="0.25">
      <c r="B18" s="21" t="s">
        <v>17</v>
      </c>
      <c r="C18" s="15">
        <v>8508810.9900000002</v>
      </c>
      <c r="D18" s="15">
        <v>9560811.9100000001</v>
      </c>
      <c r="E18" s="15">
        <v>10482506.310000001</v>
      </c>
      <c r="F18" s="15">
        <v>11077939.550000001</v>
      </c>
      <c r="G18" s="16">
        <v>10755895.68</v>
      </c>
      <c r="H18" s="17">
        <f t="shared" si="2"/>
        <v>10971013.593599999</v>
      </c>
      <c r="I18" s="17">
        <f t="shared" si="2"/>
        <v>11190433.865472</v>
      </c>
      <c r="J18" s="17">
        <f t="shared" si="2"/>
        <v>11414242.542781441</v>
      </c>
      <c r="K18" s="17">
        <f t="shared" si="2"/>
        <v>11642527.39363707</v>
      </c>
      <c r="L18" s="17">
        <f t="shared" si="2"/>
        <v>11875377.941509811</v>
      </c>
      <c r="M18" s="3">
        <f t="shared" si="3"/>
        <v>6.0338245212034902E-2</v>
      </c>
      <c r="N18" s="34">
        <v>0.02</v>
      </c>
      <c r="O18" s="34">
        <v>0.02</v>
      </c>
      <c r="P18" s="34">
        <v>0.02</v>
      </c>
      <c r="Q18" s="34">
        <v>0.02</v>
      </c>
      <c r="R18" s="34">
        <v>0.02</v>
      </c>
      <c r="S18" s="22"/>
      <c r="T18" s="32"/>
    </row>
    <row r="19" spans="1:20" x14ac:dyDescent="0.25">
      <c r="B19" s="4" t="s">
        <v>18</v>
      </c>
      <c r="C19" s="15">
        <v>6474076.04</v>
      </c>
      <c r="D19" s="15">
        <v>6302379.4100000001</v>
      </c>
      <c r="E19" s="15">
        <v>7764040.6500000004</v>
      </c>
      <c r="F19" s="15">
        <v>9118697.4700000007</v>
      </c>
      <c r="G19" s="16">
        <v>8770988.75</v>
      </c>
      <c r="H19" s="17">
        <f t="shared" si="2"/>
        <v>8858698.6374999993</v>
      </c>
      <c r="I19" s="17">
        <f t="shared" si="2"/>
        <v>8947285.6238749996</v>
      </c>
      <c r="J19" s="17">
        <f t="shared" si="2"/>
        <v>9036758.4801137503</v>
      </c>
      <c r="K19" s="17">
        <f t="shared" si="2"/>
        <v>9127126.0649148878</v>
      </c>
      <c r="L19" s="17">
        <f t="shared" si="2"/>
        <v>9218397.3255640361</v>
      </c>
      <c r="M19" s="3">
        <f t="shared" si="3"/>
        <v>7.8866454055491531E-2</v>
      </c>
      <c r="N19" s="34">
        <v>0.01</v>
      </c>
      <c r="O19" s="34">
        <v>0.01</v>
      </c>
      <c r="P19" s="34">
        <v>0.01</v>
      </c>
      <c r="Q19" s="34">
        <v>0.01</v>
      </c>
      <c r="R19" s="34">
        <v>0.01</v>
      </c>
      <c r="S19" s="22"/>
      <c r="T19" s="32"/>
    </row>
    <row r="20" spans="1:20" hidden="1" x14ac:dyDescent="0.25">
      <c r="B20" s="4" t="s">
        <v>19</v>
      </c>
      <c r="C20" s="15">
        <v>92691.9</v>
      </c>
      <c r="D20" s="15">
        <v>496166.65</v>
      </c>
      <c r="E20" s="15">
        <v>10928.84</v>
      </c>
      <c r="F20" s="15">
        <v>0</v>
      </c>
      <c r="G20" s="16">
        <v>0</v>
      </c>
      <c r="H20" s="17"/>
      <c r="I20" s="17"/>
      <c r="J20" s="17"/>
      <c r="K20" s="17"/>
      <c r="L20" s="17"/>
      <c r="M20" s="3">
        <f t="shared" si="3"/>
        <v>-1</v>
      </c>
      <c r="N20" s="35" t="s">
        <v>20</v>
      </c>
      <c r="O20" s="35" t="s">
        <v>20</v>
      </c>
      <c r="P20" s="35" t="s">
        <v>20</v>
      </c>
      <c r="Q20" s="35" t="s">
        <v>20</v>
      </c>
      <c r="R20" s="35"/>
      <c r="S20" s="36" t="s">
        <v>21</v>
      </c>
      <c r="T20" s="32"/>
    </row>
    <row r="21" spans="1:20" x14ac:dyDescent="0.25">
      <c r="B21" s="4" t="s">
        <v>22</v>
      </c>
      <c r="C21" s="15">
        <f>293723.26+4147997.65</f>
        <v>4441720.91</v>
      </c>
      <c r="D21" s="15">
        <v>6634409.2999999998</v>
      </c>
      <c r="E21" s="15">
        <v>4571231.76</v>
      </c>
      <c r="F21" s="15">
        <v>7762215</v>
      </c>
      <c r="G21" s="16">
        <v>10361473.93</v>
      </c>
      <c r="H21" s="17">
        <v>7934077.21</v>
      </c>
      <c r="I21" s="17">
        <v>6120119</v>
      </c>
      <c r="J21" s="17">
        <f t="shared" ref="H21:L23" si="4">IF(P21="","",I21*(1+P21))</f>
        <v>6181320.1900000004</v>
      </c>
      <c r="K21" s="17">
        <f t="shared" si="4"/>
        <v>6243133.3919000002</v>
      </c>
      <c r="L21" s="17">
        <f t="shared" si="4"/>
        <v>6305564.725819</v>
      </c>
      <c r="M21" s="3">
        <f t="shared" si="3"/>
        <v>0.23585513943658265</v>
      </c>
      <c r="N21" s="34">
        <v>0</v>
      </c>
      <c r="O21" s="34">
        <v>0</v>
      </c>
      <c r="P21" s="34">
        <v>0.01</v>
      </c>
      <c r="Q21" s="34">
        <v>0.01</v>
      </c>
      <c r="R21" s="34">
        <v>0.01</v>
      </c>
      <c r="S21" s="22"/>
      <c r="T21" s="32"/>
    </row>
    <row r="22" spans="1:20" ht="15" customHeight="1" x14ac:dyDescent="0.25">
      <c r="B22" s="4" t="s">
        <v>23</v>
      </c>
      <c r="C22" s="15">
        <v>2973976.7</v>
      </c>
      <c r="D22" s="15">
        <v>3000598.28</v>
      </c>
      <c r="E22" s="15">
        <v>3011243.81</v>
      </c>
      <c r="F22" s="15">
        <v>3067052.21</v>
      </c>
      <c r="G22" s="16">
        <v>3316096.5</v>
      </c>
      <c r="H22" s="17">
        <f t="shared" si="4"/>
        <v>3415579.395</v>
      </c>
      <c r="I22" s="17">
        <f t="shared" si="4"/>
        <v>3483890.9829000002</v>
      </c>
      <c r="J22" s="17">
        <f t="shared" si="4"/>
        <v>3553568.8025580002</v>
      </c>
      <c r="K22" s="17">
        <f t="shared" si="4"/>
        <v>3624640.1786091602</v>
      </c>
      <c r="L22" s="17">
        <f t="shared" si="4"/>
        <v>3697132.9821813437</v>
      </c>
      <c r="M22" s="3">
        <f t="shared" si="3"/>
        <v>2.7595987158189672E-2</v>
      </c>
      <c r="N22" s="34">
        <v>0.03</v>
      </c>
      <c r="O22" s="34">
        <v>0.02</v>
      </c>
      <c r="P22" s="34">
        <v>0.02</v>
      </c>
      <c r="Q22" s="34">
        <v>0.02</v>
      </c>
      <c r="R22" s="34">
        <v>0.02</v>
      </c>
      <c r="S22" s="22"/>
      <c r="T22" s="32"/>
    </row>
    <row r="23" spans="1:20" hidden="1" x14ac:dyDescent="0.25">
      <c r="B23" s="21" t="s">
        <v>24</v>
      </c>
      <c r="C23" s="15">
        <v>13875258.300000001</v>
      </c>
      <c r="D23" s="15">
        <v>21773592.350000001</v>
      </c>
      <c r="E23" s="15">
        <v>28534750.34</v>
      </c>
      <c r="F23" s="15">
        <v>27697115.010000002</v>
      </c>
      <c r="G23" s="16">
        <f>11879609.17+5000000</f>
        <v>16879609.170000002</v>
      </c>
      <c r="H23" s="17">
        <f t="shared" si="4"/>
        <v>17723589.628500003</v>
      </c>
      <c r="I23" s="17">
        <f t="shared" si="4"/>
        <v>18432533.213640004</v>
      </c>
      <c r="J23" s="17">
        <f t="shared" si="4"/>
        <v>14746026.570912004</v>
      </c>
      <c r="K23" s="17">
        <f t="shared" si="4"/>
        <v>15188407.368039364</v>
      </c>
      <c r="L23" s="17">
        <f t="shared" si="4"/>
        <v>15644059.589080546</v>
      </c>
      <c r="M23" s="3">
        <f t="shared" si="3"/>
        <v>5.0220103882695044E-2</v>
      </c>
      <c r="N23" s="34">
        <v>0.05</v>
      </c>
      <c r="O23" s="34">
        <v>0.04</v>
      </c>
      <c r="P23" s="34">
        <v>-0.2</v>
      </c>
      <c r="Q23" s="34">
        <v>0.03</v>
      </c>
      <c r="R23" s="34">
        <v>0.03</v>
      </c>
      <c r="S23" s="22"/>
      <c r="T23" s="32"/>
    </row>
    <row r="24" spans="1:20" s="5" customFormat="1" ht="13" x14ac:dyDescent="0.3">
      <c r="B24" s="5" t="s">
        <v>25</v>
      </c>
      <c r="C24" s="25">
        <f t="shared" ref="C24:K24" si="5">SUM(C15:C23)</f>
        <v>192638752.69</v>
      </c>
      <c r="D24" s="25">
        <f t="shared" si="5"/>
        <v>208911977.48000002</v>
      </c>
      <c r="E24" s="25">
        <f t="shared" si="5"/>
        <v>222963814.56000003</v>
      </c>
      <c r="F24" s="25">
        <f t="shared" si="5"/>
        <v>238481547.42000002</v>
      </c>
      <c r="G24" s="26">
        <f t="shared" si="5"/>
        <v>240720188.65000004</v>
      </c>
      <c r="H24" s="25">
        <f t="shared" si="5"/>
        <v>243351805.57700002</v>
      </c>
      <c r="I24" s="25">
        <f t="shared" si="5"/>
        <v>246512086.74053496</v>
      </c>
      <c r="J24" s="25">
        <f t="shared" si="5"/>
        <v>247236497.12210616</v>
      </c>
      <c r="K24" s="25">
        <f t="shared" si="5"/>
        <v>252176506.54355627</v>
      </c>
      <c r="L24" s="25">
        <f>SUM(L15:L23)</f>
        <v>257218218.15353963</v>
      </c>
      <c r="M24" s="27">
        <f>IF(AND(G24&gt;0,C24&gt;0),(G24/C24)^(1/4)-1,IF(AND(G24&lt;=0,C24&gt;0),(F24/C24)^(1/3)-1,""))</f>
        <v>5.7285349547586906E-2</v>
      </c>
      <c r="N24" s="28">
        <f>IF(G24&lt;=0,"",(H24-G24)/G24)</f>
        <v>1.0932265140529109E-2</v>
      </c>
      <c r="O24" s="28">
        <f>IF(H24&lt;=0,"",(I24-H24)/H24)</f>
        <v>1.2986470990185362E-2</v>
      </c>
      <c r="P24" s="28">
        <f>IF(I24&lt;=0,"",(J24-I24)/I24)</f>
        <v>2.9386404177969491E-3</v>
      </c>
      <c r="Q24" s="28">
        <f>IF(J24&lt;=0,"",(K24-J24)/J24)</f>
        <v>1.9980906860245298E-2</v>
      </c>
      <c r="R24" s="28">
        <f>IF(K24&lt;=0,"",(L24-K24)/K24)</f>
        <v>1.999278869823087E-2</v>
      </c>
      <c r="S24" s="37"/>
      <c r="T24" s="37"/>
    </row>
    <row r="25" spans="1:20" s="38" customFormat="1" ht="13" x14ac:dyDescent="0.3">
      <c r="B25" s="38" t="s">
        <v>26</v>
      </c>
      <c r="C25" s="39"/>
      <c r="D25" s="39"/>
      <c r="E25" s="39"/>
      <c r="F25" s="39"/>
      <c r="G25" s="40"/>
      <c r="H25" s="39"/>
      <c r="I25" s="39"/>
      <c r="J25" s="39"/>
      <c r="K25" s="39"/>
      <c r="L25" s="39"/>
    </row>
    <row r="26" spans="1:20" s="25" customFormat="1" ht="13" x14ac:dyDescent="0.3">
      <c r="A26" s="80" t="s">
        <v>27</v>
      </c>
      <c r="B26" s="80"/>
      <c r="C26" s="25">
        <f t="shared" ref="C26:L26" si="6">C12-C24</f>
        <v>18113902.870000005</v>
      </c>
      <c r="D26" s="25">
        <f t="shared" si="6"/>
        <v>6354656.0200000107</v>
      </c>
      <c r="E26" s="25">
        <f t="shared" si="6"/>
        <v>8381135.839999944</v>
      </c>
      <c r="F26" s="25">
        <f t="shared" si="6"/>
        <v>3720613.5199999511</v>
      </c>
      <c r="G26" s="26">
        <f t="shared" si="6"/>
        <v>1364659.9899999499</v>
      </c>
      <c r="H26" s="25">
        <f t="shared" si="6"/>
        <v>3567400.0357999802</v>
      </c>
      <c r="I26" s="41">
        <f t="shared" si="6"/>
        <v>-5088051.8818949461</v>
      </c>
      <c r="J26" s="41">
        <f t="shared" si="6"/>
        <v>-22310187.227359742</v>
      </c>
      <c r="K26" s="41">
        <f t="shared" si="6"/>
        <v>-36738095.220099896</v>
      </c>
      <c r="L26" s="41">
        <f t="shared" si="6"/>
        <v>-38177332.842073351</v>
      </c>
    </row>
    <row r="27" spans="1:20" x14ac:dyDescent="0.25">
      <c r="A27" s="42"/>
      <c r="B27" s="42"/>
      <c r="C27" s="42"/>
      <c r="D27" s="42"/>
      <c r="E27" s="42"/>
      <c r="F27" s="42"/>
      <c r="G27" s="43"/>
      <c r="H27" s="42"/>
      <c r="I27" s="42"/>
      <c r="J27" s="42"/>
      <c r="K27" s="42"/>
      <c r="L27" s="42"/>
      <c r="P27" s="32"/>
    </row>
    <row r="28" spans="1:20" ht="13" x14ac:dyDescent="0.3">
      <c r="A28" s="44" t="s">
        <v>28</v>
      </c>
      <c r="B28" s="42"/>
      <c r="C28" s="42"/>
      <c r="D28" s="42"/>
      <c r="E28" s="42"/>
      <c r="F28" s="42"/>
      <c r="G28" s="43"/>
      <c r="H28" s="42"/>
      <c r="I28" s="42"/>
      <c r="J28" s="42"/>
      <c r="K28" s="42"/>
      <c r="L28" s="42"/>
    </row>
    <row r="29" spans="1:20" s="45" customFormat="1" x14ac:dyDescent="0.25">
      <c r="B29" s="46" t="s">
        <v>29</v>
      </c>
      <c r="C29" s="47">
        <v>1369044.15</v>
      </c>
      <c r="D29" s="47">
        <v>19439508.52</v>
      </c>
      <c r="E29" s="47">
        <v>26043526.84</v>
      </c>
      <c r="F29" s="47">
        <v>34423264.68</v>
      </c>
      <c r="G29" s="48">
        <v>38206486.140000001</v>
      </c>
      <c r="H29" s="42">
        <f>G30</f>
        <v>39571146.130000003</v>
      </c>
      <c r="I29" s="45">
        <f>IF(H30="","",H30)</f>
        <v>43138546.165799983</v>
      </c>
      <c r="J29" s="45">
        <f>IF(I30="","",I30)</f>
        <v>38050494.283905037</v>
      </c>
      <c r="K29" s="45">
        <f>IF(J30="","",J30)</f>
        <v>15740307.056545295</v>
      </c>
      <c r="L29" s="45">
        <f>IF(K30="","",K30)</f>
        <v>-20997788.163554601</v>
      </c>
    </row>
    <row r="30" spans="1:20" ht="13" x14ac:dyDescent="0.3">
      <c r="A30" s="42"/>
      <c r="B30" s="46" t="s">
        <v>30</v>
      </c>
      <c r="C30" s="49">
        <v>19482947.02</v>
      </c>
      <c r="D30" s="49">
        <v>25794163.859999999</v>
      </c>
      <c r="E30" s="49">
        <v>34424662.68</v>
      </c>
      <c r="F30" s="49">
        <v>38132152.289999999</v>
      </c>
      <c r="G30" s="50">
        <v>39571146.130000003</v>
      </c>
      <c r="H30" s="42">
        <f>IF(H29="","",H26+H29)</f>
        <v>43138546.165799983</v>
      </c>
      <c r="I30" s="42">
        <f>IF(I29="","",I26+I29)</f>
        <v>38050494.283905037</v>
      </c>
      <c r="J30" s="42">
        <f>IF(J29="","",J26+J29)</f>
        <v>15740307.056545295</v>
      </c>
      <c r="K30" s="51">
        <f>IF(K29="","",K26+K29)</f>
        <v>-20997788.163554601</v>
      </c>
      <c r="L30" s="51">
        <f>IF(L29="","",L26+L29)</f>
        <v>-59175121.005627953</v>
      </c>
      <c r="M30" s="42"/>
    </row>
    <row r="31" spans="1:20" s="23" customFormat="1" ht="13" x14ac:dyDescent="0.3">
      <c r="A31" s="52"/>
      <c r="B31" s="42" t="s">
        <v>31</v>
      </c>
      <c r="C31" s="49">
        <v>16500000</v>
      </c>
      <c r="D31" s="49">
        <v>17000000</v>
      </c>
      <c r="E31" s="49">
        <v>18000000</v>
      </c>
      <c r="F31" s="49">
        <v>19500000</v>
      </c>
      <c r="G31" s="53">
        <v>20060015.719999999</v>
      </c>
      <c r="H31" s="54">
        <f>(G31*0.02)+G31</f>
        <v>20461216.034399997</v>
      </c>
      <c r="I31" s="54">
        <f>(H31*0.02)+H31</f>
        <v>20870440.355087996</v>
      </c>
      <c r="J31" s="54">
        <f>(I31*0.02)+I31</f>
        <v>21287849.162189756</v>
      </c>
      <c r="K31" s="54">
        <f>(J31*0.02)+J31</f>
        <v>21713606.145433553</v>
      </c>
      <c r="L31" s="54">
        <f>(K31*0.02)+K31</f>
        <v>22147878.268342223</v>
      </c>
      <c r="M31" s="55"/>
    </row>
    <row r="32" spans="1:20" s="62" customFormat="1" ht="13" hidden="1" x14ac:dyDescent="0.3">
      <c r="A32" s="56"/>
      <c r="B32" s="57" t="s">
        <v>32</v>
      </c>
      <c r="C32" s="44">
        <f t="shared" ref="C32:K32" si="7">IF(C29="","",C30-C31)</f>
        <v>2982947.0199999996</v>
      </c>
      <c r="D32" s="44">
        <f t="shared" si="7"/>
        <v>8794163.8599999994</v>
      </c>
      <c r="E32" s="44">
        <f t="shared" si="7"/>
        <v>16424662.68</v>
      </c>
      <c r="F32" s="44">
        <f t="shared" si="7"/>
        <v>18632152.289999999</v>
      </c>
      <c r="G32" s="58">
        <f t="shared" si="7"/>
        <v>19511130.410000004</v>
      </c>
      <c r="H32" s="59">
        <f t="shared" si="7"/>
        <v>22677330.131399985</v>
      </c>
      <c r="I32" s="59">
        <f t="shared" si="7"/>
        <v>17180053.928817041</v>
      </c>
      <c r="J32" s="60">
        <f t="shared" si="7"/>
        <v>-5547542.1056444608</v>
      </c>
      <c r="K32" s="60">
        <f t="shared" si="7"/>
        <v>-42711394.308988154</v>
      </c>
      <c r="L32" s="60">
        <f>IF(L29="","",L30-L31)</f>
        <v>-81322999.273970172</v>
      </c>
      <c r="M32" s="61"/>
    </row>
    <row r="33" spans="1:18" ht="13" hidden="1" thickBot="1" x14ac:dyDescent="0.3">
      <c r="B33" s="4" t="s">
        <v>33</v>
      </c>
      <c r="C33" s="63">
        <f>IF(C24&gt;0,C32/C24,"")</f>
        <v>1.5484667432415566E-2</v>
      </c>
      <c r="D33" s="63">
        <f t="shared" ref="D33:K33" si="8">IF(D24&gt;0,D32/D24,"")</f>
        <v>4.2095067817937343E-2</v>
      </c>
      <c r="E33" s="63">
        <f t="shared" si="8"/>
        <v>7.366514926385101E-2</v>
      </c>
      <c r="F33" s="63">
        <f t="shared" si="8"/>
        <v>7.8128276554605386E-2</v>
      </c>
      <c r="G33" s="64">
        <f t="shared" si="8"/>
        <v>8.1053153536567737E-2</v>
      </c>
      <c r="H33" s="63">
        <f t="shared" si="8"/>
        <v>9.3187433220932286E-2</v>
      </c>
      <c r="I33" s="63">
        <f t="shared" si="8"/>
        <v>6.9692541878888958E-2</v>
      </c>
      <c r="J33" s="63">
        <f t="shared" si="8"/>
        <v>-2.2438200549753859E-2</v>
      </c>
      <c r="K33" s="65">
        <f t="shared" si="8"/>
        <v>-0.16937102862756559</v>
      </c>
      <c r="L33" s="65">
        <f>IF(L24&gt;0,L32/L24,"")</f>
        <v>-0.3161634500765671</v>
      </c>
    </row>
    <row r="35" spans="1:18" ht="13" x14ac:dyDescent="0.3">
      <c r="A35" s="5" t="s">
        <v>34</v>
      </c>
      <c r="C35" s="66">
        <v>3098</v>
      </c>
      <c r="D35" s="66">
        <v>3115</v>
      </c>
      <c r="E35" s="66">
        <v>3501</v>
      </c>
      <c r="F35" s="66">
        <v>3561</v>
      </c>
      <c r="G35" s="67">
        <v>3667</v>
      </c>
      <c r="H35" s="17">
        <f t="shared" ref="H35:L36" si="9">IF(N35="","",G35*(1+N35))</f>
        <v>3740.34</v>
      </c>
      <c r="I35" s="17">
        <f t="shared" si="9"/>
        <v>3815.1468000000004</v>
      </c>
      <c r="J35" s="17">
        <f t="shared" si="9"/>
        <v>3891.4497360000005</v>
      </c>
      <c r="K35" s="17">
        <f t="shared" si="9"/>
        <v>3969.2787307200006</v>
      </c>
      <c r="L35" s="17">
        <f t="shared" si="9"/>
        <v>4048.6643053344005</v>
      </c>
      <c r="M35" s="3">
        <f>IF(AND(G35&gt;0,C35&gt;0),(G35/C35)^(1/4)-1,IF(AND(G35&lt;=0,C35&gt;0),(F35/C35)^(1/3)-1,""))</f>
        <v>4.3055395988505607E-2</v>
      </c>
      <c r="N35" s="34">
        <v>0.02</v>
      </c>
      <c r="O35" s="34">
        <v>0.02</v>
      </c>
      <c r="P35" s="34">
        <v>0.02</v>
      </c>
      <c r="Q35" s="34">
        <v>0.02</v>
      </c>
      <c r="R35" s="34">
        <v>0.02</v>
      </c>
    </row>
    <row r="36" spans="1:18" ht="13" x14ac:dyDescent="0.3">
      <c r="A36" s="5" t="s">
        <v>35</v>
      </c>
      <c r="C36" s="66">
        <v>28367</v>
      </c>
      <c r="D36" s="66">
        <v>28611</v>
      </c>
      <c r="E36" s="66">
        <v>29462</v>
      </c>
      <c r="F36" s="66">
        <v>30302</v>
      </c>
      <c r="G36" s="67">
        <v>30643</v>
      </c>
      <c r="H36" s="17">
        <f t="shared" si="9"/>
        <v>31255.86</v>
      </c>
      <c r="I36" s="17">
        <f t="shared" si="9"/>
        <v>31880.977200000001</v>
      </c>
      <c r="J36" s="17">
        <f t="shared" si="9"/>
        <v>32518.596744000002</v>
      </c>
      <c r="K36" s="17">
        <f t="shared" si="9"/>
        <v>33168.968678880003</v>
      </c>
      <c r="L36" s="17">
        <f t="shared" si="9"/>
        <v>33832.348052457601</v>
      </c>
      <c r="M36" s="27">
        <f>IF(AND(G36&gt;0,C36&gt;0),(G36/C36)^(1/4)-1,IF(AND(G36&lt;=0,C36&gt;0),(F36/C36)^(1/3)-1,""))</f>
        <v>1.9481779009807187E-2</v>
      </c>
      <c r="N36" s="34">
        <v>0.02</v>
      </c>
      <c r="O36" s="34">
        <v>0.02</v>
      </c>
      <c r="P36" s="34">
        <v>0.02</v>
      </c>
      <c r="Q36" s="34">
        <v>0.02</v>
      </c>
      <c r="R36" s="34">
        <v>0.02</v>
      </c>
    </row>
    <row r="37" spans="1:18" ht="13" x14ac:dyDescent="0.3">
      <c r="A37" s="5"/>
    </row>
    <row r="38" spans="1:18" s="5" customFormat="1" ht="13" hidden="1" x14ac:dyDescent="0.3">
      <c r="A38" s="23"/>
      <c r="N38" s="68"/>
    </row>
    <row r="39" spans="1:18" ht="13" hidden="1" x14ac:dyDescent="0.3">
      <c r="B39" s="5"/>
      <c r="N39" s="69"/>
    </row>
    <row r="40" spans="1:18" hidden="1" x14ac:dyDescent="0.25">
      <c r="N40" s="69"/>
    </row>
    <row r="41" spans="1:18" hidden="1" x14ac:dyDescent="0.25">
      <c r="N41" s="69"/>
    </row>
    <row r="42" spans="1:18" hidden="1" x14ac:dyDescent="0.25">
      <c r="N42" s="69"/>
    </row>
    <row r="43" spans="1:18" hidden="1" x14ac:dyDescent="0.25">
      <c r="N43" s="69"/>
    </row>
    <row r="44" spans="1:18" hidden="1" x14ac:dyDescent="0.25">
      <c r="N44" s="69"/>
    </row>
    <row r="45" spans="1:18" hidden="1" x14ac:dyDescent="0.25">
      <c r="N45" s="69"/>
    </row>
    <row r="46" spans="1:18" hidden="1" x14ac:dyDescent="0.25">
      <c r="N46" s="69"/>
    </row>
    <row r="47" spans="1:18" hidden="1" x14ac:dyDescent="0.25">
      <c r="N47" s="69"/>
    </row>
    <row r="48" spans="1:18" s="5" customFormat="1" ht="13" hidden="1" x14ac:dyDescent="0.3">
      <c r="N48" s="68"/>
    </row>
    <row r="49" spans="1:14" hidden="1" x14ac:dyDescent="0.25">
      <c r="N49" s="69"/>
    </row>
    <row r="50" spans="1:14" hidden="1" x14ac:dyDescent="0.25">
      <c r="N50" s="69"/>
    </row>
    <row r="51" spans="1:14" hidden="1" x14ac:dyDescent="0.25">
      <c r="N51" s="69"/>
    </row>
    <row r="52" spans="1:14" hidden="1" x14ac:dyDescent="0.25">
      <c r="N52" s="69"/>
    </row>
    <row r="53" spans="1:14" hidden="1" x14ac:dyDescent="0.25">
      <c r="N53" s="69"/>
    </row>
    <row r="54" spans="1:14" hidden="1" x14ac:dyDescent="0.25">
      <c r="N54" s="69"/>
    </row>
    <row r="55" spans="1:14" hidden="1" x14ac:dyDescent="0.25">
      <c r="N55" s="69"/>
    </row>
    <row r="56" spans="1:14" hidden="1" x14ac:dyDescent="0.25"/>
    <row r="57" spans="1:14" hidden="1" x14ac:dyDescent="0.25"/>
    <row r="58" spans="1:14" hidden="1" x14ac:dyDescent="0.25"/>
    <row r="59" spans="1:14" hidden="1" x14ac:dyDescent="0.25"/>
    <row r="60" spans="1:14" ht="13" hidden="1" x14ac:dyDescent="0.3">
      <c r="A60" s="70"/>
    </row>
    <row r="61" spans="1:14" hidden="1" x14ac:dyDescent="0.25">
      <c r="F61" s="4" t="s">
        <v>36</v>
      </c>
      <c r="G61" s="71">
        <v>42096686</v>
      </c>
    </row>
    <row r="62" spans="1:14" hidden="1" x14ac:dyDescent="0.25">
      <c r="G62" s="71">
        <v>90000</v>
      </c>
      <c r="I62" s="4">
        <v>104362848.33</v>
      </c>
    </row>
    <row r="63" spans="1:14" hidden="1" x14ac:dyDescent="0.25">
      <c r="G63" s="72">
        <v>3303962</v>
      </c>
    </row>
    <row r="64" spans="1:14" hidden="1" x14ac:dyDescent="0.25">
      <c r="G64" s="73">
        <f>SUM(G61:G63)</f>
        <v>45490648</v>
      </c>
    </row>
    <row r="65" spans="6:12" hidden="1" x14ac:dyDescent="0.25">
      <c r="G65" s="74">
        <f>G64/12</f>
        <v>3790887.3333333335</v>
      </c>
    </row>
    <row r="66" spans="6:12" hidden="1" x14ac:dyDescent="0.25">
      <c r="F66" s="4" t="s">
        <v>37</v>
      </c>
      <c r="G66" s="74">
        <f>G65*2</f>
        <v>7581774.666666667</v>
      </c>
    </row>
    <row r="67" spans="6:12" hidden="1" x14ac:dyDescent="0.25"/>
    <row r="68" spans="6:12" x14ac:dyDescent="0.25">
      <c r="H68" s="73"/>
      <c r="I68" s="73"/>
      <c r="J68" s="73"/>
      <c r="K68" s="73"/>
      <c r="L68" s="73"/>
    </row>
    <row r="71" spans="6:12" hidden="1" x14ac:dyDescent="0.25">
      <c r="G71" s="75">
        <f>G24/12</f>
        <v>20060015.720833335</v>
      </c>
      <c r="H71" s="75">
        <f>H24/12</f>
        <v>20279317.131416667</v>
      </c>
      <c r="I71" s="75">
        <f>I24/12</f>
        <v>20542673.89504458</v>
      </c>
    </row>
  </sheetData>
  <mergeCells count="5">
    <mergeCell ref="C5:F5"/>
    <mergeCell ref="H5:K5"/>
    <mergeCell ref="M5:M6"/>
    <mergeCell ref="N5:S5"/>
    <mergeCell ref="A26:B26"/>
  </mergeCells>
  <conditionalFormatting sqref="A1">
    <cfRule type="cellIs" dxfId="0" priority="1" stopIfTrue="1" operator="equal">
      <formula>"{ENTER NAME OF CITY HERE}"</formula>
    </cfRule>
  </conditionalFormatting>
  <pageMargins left="0.25" right="0.16" top="0.24" bottom="0.23" header="0.5" footer="0.23"/>
  <pageSetup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BCBE Financial Plan</vt:lpstr>
      <vt:lpstr>'BCBE Financial Plan'!Print_Area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Wilson</dc:creator>
  <cp:lastModifiedBy>John Wilson</cp:lastModifiedBy>
  <dcterms:created xsi:type="dcterms:W3CDTF">2020-02-03T16:27:36Z</dcterms:created>
  <dcterms:modified xsi:type="dcterms:W3CDTF">2020-02-03T16:34:22Z</dcterms:modified>
</cp:coreProperties>
</file>